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9360" windowHeight="4950"/>
  </bookViews>
  <sheets>
    <sheet name="Introduction" sheetId="5" r:id="rId1"/>
    <sheet name="Store#1" sheetId="1" r:id="rId2"/>
    <sheet name="Store#2" sheetId="2" r:id="rId3"/>
    <sheet name="TOTAL" sheetId="3" r:id="rId4"/>
    <sheet name="POLICE" sheetId="4" r:id="rId5"/>
  </sheets>
  <definedNames>
    <definedName name="_xlnm.Print_Area" localSheetId="4">POLICE!$A$1:$F$9</definedName>
    <definedName name="_xlnm.Print_Area" localSheetId="1">'Store#1'!$A$1:$I$31</definedName>
    <definedName name="_xlnm.Print_Area" localSheetId="3">TOTAL!$A$1:$K$26</definedName>
  </definedNames>
  <calcPr calcId="145621"/>
</workbook>
</file>

<file path=xl/calcChain.xml><?xml version="1.0" encoding="utf-8"?>
<calcChain xmlns="http://schemas.openxmlformats.org/spreadsheetml/2006/main">
  <c r="D3" i="4" l="1"/>
  <c r="F3" i="4"/>
  <c r="F9" i="4" s="1"/>
  <c r="D4" i="4"/>
  <c r="F4" i="4"/>
  <c r="D5" i="4"/>
  <c r="F5" i="4" s="1"/>
  <c r="D6" i="4"/>
  <c r="F6" i="4"/>
  <c r="B27" i="1"/>
  <c r="D27" i="1" s="1"/>
  <c r="F27" i="1" s="1"/>
  <c r="B28" i="1"/>
  <c r="B30" i="1"/>
  <c r="D30" i="1" s="1"/>
  <c r="D31" i="1" s="1"/>
  <c r="D26" i="1"/>
  <c r="F26" i="1"/>
  <c r="B14" i="1"/>
  <c r="B18" i="1" s="1"/>
  <c r="B15" i="1"/>
  <c r="B16" i="1"/>
  <c r="B17" i="1"/>
  <c r="C14" i="1"/>
  <c r="C15" i="1"/>
  <c r="C16" i="1"/>
  <c r="C18" i="1" s="1"/>
  <c r="C19" i="1" s="1"/>
  <c r="C17" i="1"/>
  <c r="D14" i="1"/>
  <c r="D15" i="1"/>
  <c r="D16" i="1"/>
  <c r="D17" i="1"/>
  <c r="D18" i="1"/>
  <c r="D19" i="1"/>
  <c r="E14" i="1"/>
  <c r="E18" i="1" s="1"/>
  <c r="E19" i="1" s="1"/>
  <c r="E15" i="1"/>
  <c r="E16" i="1"/>
  <c r="E17" i="1"/>
  <c r="F14" i="1"/>
  <c r="F18" i="1" s="1"/>
  <c r="F19" i="1" s="1"/>
  <c r="F15" i="1"/>
  <c r="F16" i="1"/>
  <c r="F17" i="1"/>
  <c r="B6" i="1"/>
  <c r="G6" i="1" s="1"/>
  <c r="B7" i="1"/>
  <c r="C6" i="1"/>
  <c r="C7" i="1" s="1"/>
  <c r="G7" i="1" s="1"/>
  <c r="D6" i="1"/>
  <c r="D7" i="1" s="1"/>
  <c r="E6" i="1"/>
  <c r="E7" i="1"/>
  <c r="F6" i="1"/>
  <c r="F7" i="1"/>
  <c r="B11" i="1"/>
  <c r="G11" i="1" s="1"/>
  <c r="C11" i="1"/>
  <c r="D11" i="1"/>
  <c r="E11" i="1"/>
  <c r="F11" i="1"/>
  <c r="B22" i="1"/>
  <c r="B23" i="1"/>
  <c r="C22" i="1"/>
  <c r="C23" i="1"/>
  <c r="D22" i="1"/>
  <c r="D23" i="1" s="1"/>
  <c r="E22" i="1"/>
  <c r="E23" i="1"/>
  <c r="F22" i="1"/>
  <c r="F23" i="1"/>
  <c r="G22" i="1"/>
  <c r="G10" i="1"/>
  <c r="B27" i="2"/>
  <c r="D27" i="2"/>
  <c r="D26" i="2"/>
  <c r="F5" i="2"/>
  <c r="F4" i="2"/>
  <c r="F3" i="2"/>
  <c r="F15" i="2" s="1"/>
  <c r="F2" i="2"/>
  <c r="F6" i="2" s="1"/>
  <c r="F7" i="2" s="1"/>
  <c r="E5" i="2"/>
  <c r="E17" i="2" s="1"/>
  <c r="E4" i="2"/>
  <c r="E3" i="2"/>
  <c r="E2" i="2"/>
  <c r="D5" i="2"/>
  <c r="D17" i="2" s="1"/>
  <c r="D4" i="2"/>
  <c r="D16" i="2" s="1"/>
  <c r="D3" i="2"/>
  <c r="D15" i="2" s="1"/>
  <c r="D2" i="2"/>
  <c r="C5" i="2"/>
  <c r="C6" i="2" s="1"/>
  <c r="C7" i="2" s="1"/>
  <c r="C4" i="2"/>
  <c r="C3" i="2"/>
  <c r="C2" i="2"/>
  <c r="C14" i="2" s="1"/>
  <c r="C18" i="2" s="1"/>
  <c r="C19" i="2" s="1"/>
  <c r="B5" i="2"/>
  <c r="B4" i="2"/>
  <c r="B3" i="2"/>
  <c r="B15" i="2" s="1"/>
  <c r="B2" i="2"/>
  <c r="B6" i="2" s="1"/>
  <c r="B28" i="2"/>
  <c r="B30" i="2" s="1"/>
  <c r="D30" i="2" s="1"/>
  <c r="D31" i="2" s="1"/>
  <c r="F27" i="2"/>
  <c r="F26" i="2"/>
  <c r="B11" i="2"/>
  <c r="G11" i="2" s="1"/>
  <c r="C11" i="2"/>
  <c r="D11" i="2"/>
  <c r="E11" i="2"/>
  <c r="F11" i="2"/>
  <c r="B22" i="2"/>
  <c r="B23" i="2"/>
  <c r="C22" i="2"/>
  <c r="C23" i="2" s="1"/>
  <c r="G23" i="2" s="1"/>
  <c r="D22" i="2"/>
  <c r="D23" i="2" s="1"/>
  <c r="E22" i="2"/>
  <c r="E23" i="2"/>
  <c r="F22" i="2"/>
  <c r="F23" i="2"/>
  <c r="E6" i="2"/>
  <c r="E7" i="2"/>
  <c r="B16" i="2"/>
  <c r="B17" i="2"/>
  <c r="C15" i="2"/>
  <c r="C16" i="2"/>
  <c r="C17" i="2"/>
  <c r="D14" i="2"/>
  <c r="D18" i="2" s="1"/>
  <c r="D19" i="2" s="1"/>
  <c r="E14" i="2"/>
  <c r="E18" i="2" s="1"/>
  <c r="E19" i="2" s="1"/>
  <c r="E15" i="2"/>
  <c r="E16" i="2"/>
  <c r="F16" i="2"/>
  <c r="F17" i="2"/>
  <c r="G10" i="2"/>
  <c r="F2" i="3"/>
  <c r="F3" i="3" s="1"/>
  <c r="C6" i="3"/>
  <c r="D6" i="3"/>
  <c r="E6" i="3"/>
  <c r="F6" i="3"/>
  <c r="H6" i="3" s="1"/>
  <c r="I14" i="3" s="1"/>
  <c r="K14" i="3" s="1"/>
  <c r="G6" i="3"/>
  <c r="C13" i="3"/>
  <c r="C14" i="3"/>
  <c r="D13" i="3"/>
  <c r="H13" i="3" s="1"/>
  <c r="D14" i="3"/>
  <c r="H14" i="3" s="1"/>
  <c r="E13" i="3"/>
  <c r="E14" i="3"/>
  <c r="F13" i="3"/>
  <c r="F14" i="3"/>
  <c r="G13" i="3"/>
  <c r="G14" i="3"/>
  <c r="C19" i="3"/>
  <c r="C20" i="3"/>
  <c r="C22" i="3"/>
  <c r="E22" i="3" s="1"/>
  <c r="E23" i="3" s="1"/>
  <c r="H5" i="3"/>
  <c r="B7" i="2" l="1"/>
  <c r="G2" i="3"/>
  <c r="H23" i="2"/>
  <c r="G18" i="1"/>
  <c r="H18" i="1" s="1"/>
  <c r="I18" i="1" s="1"/>
  <c r="B19" i="1"/>
  <c r="G19" i="1" s="1"/>
  <c r="H19" i="1" s="1"/>
  <c r="I19" i="1" s="1"/>
  <c r="G23" i="1"/>
  <c r="H23" i="1"/>
  <c r="D6" i="2"/>
  <c r="D2" i="3"/>
  <c r="F14" i="2"/>
  <c r="F18" i="2" s="1"/>
  <c r="F19" i="2" s="1"/>
  <c r="B14" i="2"/>
  <c r="B18" i="2" s="1"/>
  <c r="F9" i="3"/>
  <c r="F10" i="3" s="1"/>
  <c r="C2" i="3"/>
  <c r="G22" i="2"/>
  <c r="C9" i="3" l="1"/>
  <c r="H2" i="3"/>
  <c r="C3" i="3"/>
  <c r="G18" i="2"/>
  <c r="B19" i="2"/>
  <c r="G19" i="2" s="1"/>
  <c r="D9" i="3"/>
  <c r="D10" i="3" s="1"/>
  <c r="D3" i="3"/>
  <c r="D7" i="2"/>
  <c r="G7" i="2" s="1"/>
  <c r="H19" i="2" s="1"/>
  <c r="I19" i="2" s="1"/>
  <c r="E2" i="3"/>
  <c r="G3" i="3"/>
  <c r="G9" i="3"/>
  <c r="G10" i="3" s="1"/>
  <c r="G6" i="2"/>
  <c r="H18" i="2" l="1"/>
  <c r="I18" i="2" s="1"/>
  <c r="E3" i="3"/>
  <c r="H3" i="3" s="1"/>
  <c r="I10" i="3" s="1"/>
  <c r="J10" i="3" s="1"/>
  <c r="K10" i="3" s="1"/>
  <c r="K16" i="3" s="1"/>
  <c r="E9" i="3"/>
  <c r="E10" i="3" s="1"/>
  <c r="C10" i="3"/>
  <c r="H10" i="3" s="1"/>
  <c r="H9" i="3" l="1"/>
  <c r="I9" i="3" s="1"/>
  <c r="J9" i="3" s="1"/>
  <c r="K9" i="3" s="1"/>
</calcChain>
</file>

<file path=xl/sharedStrings.xml><?xml version="1.0" encoding="utf-8"?>
<sst xmlns="http://schemas.openxmlformats.org/spreadsheetml/2006/main" count="110" uniqueCount="52">
  <si>
    <t>SALES</t>
  </si>
  <si>
    <t>5 YR TOTAL</t>
  </si>
  <si>
    <t>DIFFERENCE</t>
  </si>
  <si>
    <t>GROSS UP</t>
  </si>
  <si>
    <t>QTR 1</t>
  </si>
  <si>
    <t>QTR 2</t>
  </si>
  <si>
    <t>QTR 3</t>
  </si>
  <si>
    <t>QTR 4</t>
  </si>
  <si>
    <t>TOTAL</t>
  </si>
  <si>
    <t>PROP TX</t>
  </si>
  <si>
    <t>RENT @</t>
  </si>
  <si>
    <t>PSF=</t>
  </si>
  <si>
    <t>/MO</t>
  </si>
  <si>
    <t>/YEAR</t>
  </si>
  <si>
    <t>75% RENT</t>
  </si>
  <si>
    <t>PSF</t>
  </si>
  <si>
    <t>TOTAL SF</t>
  </si>
  <si>
    <t>RENT DIFF</t>
  </si>
  <si>
    <t>CAP AT 10%</t>
  </si>
  <si>
    <t>VALUE</t>
  </si>
  <si>
    <t>YEAR</t>
  </si>
  <si>
    <t>5 YEAR TOTAL</t>
  </si>
  <si>
    <t>GROSS UP FOR SITE</t>
  </si>
  <si>
    <t>ANNUAL</t>
  </si>
  <si>
    <t>ACTUAL SALES</t>
  </si>
  <si>
    <t>CITY TAX REVENUE</t>
  </si>
  <si>
    <t>PROPERTY TAX</t>
  </si>
  <si>
    <t>REDUCED SALES*</t>
  </si>
  <si>
    <t>REDUCED PROPERTY TAX*</t>
  </si>
  <si>
    <t>N/A</t>
  </si>
  <si>
    <t>TOTAL DIFFERENCE PER YEAR</t>
  </si>
  <si>
    <t>REDUCED RENT*</t>
  </si>
  <si>
    <t>TOTAL SITE SQ FT</t>
  </si>
  <si>
    <t>RENT DIFFERENCE</t>
  </si>
  <si>
    <t>PSF     =</t>
  </si>
  <si>
    <t>CAPITALIZE AT 10%</t>
  </si>
  <si>
    <t>*REDUCED TO 75%</t>
  </si>
  <si>
    <t>Sales % remaining after sign removed</t>
  </si>
  <si>
    <t>The merchant in this example operated his business at two levels, one as storefront retail and the other on a delivery basis to local businesses. As a result sales information was kept in separate accounts, labeled "Store #1" and "Story#2". The total of these constitute all of the sales for 40% of the shopping center's gross leasable area.</t>
  </si>
  <si>
    <t>The worksheet named "Police" is a summary of the cost of providing policy protection for the community on a contract basis from a county law enforcement agency.</t>
  </si>
  <si>
    <t>Service type</t>
  </si>
  <si>
    <t>Per unit</t>
  </si>
  <si>
    <t>Beat factor</t>
  </si>
  <si>
    <t>Net</t>
  </si>
  <si>
    <t># Units</t>
  </si>
  <si>
    <t>Total</t>
  </si>
  <si>
    <t>Patrol</t>
  </si>
  <si>
    <t>Traffic 5 day</t>
  </si>
  <si>
    <t>Traffic 7 day</t>
  </si>
  <si>
    <t>Special Purpose</t>
  </si>
  <si>
    <t>Insurance</t>
  </si>
  <si>
    <t>Annual 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</si>
</sst>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5" formatCode="_(&quot;$&quot;* #,##0_);_(&quot;$&quot;* \(#,##0\);_(&quot;$&quot;* &quot;-&quot;??_);_(@_)"/>
    <numFmt numFmtId="166" formatCode="0.0%"/>
    <numFmt numFmtId="169" formatCode="0.0000"/>
    <numFmt numFmtId="172" formatCode="_(* #,##0_);_(* \(#,##0\);_(* &quot;-&quot;??_);_(@_)"/>
  </numFmts>
  <fonts count="3" x14ac:knownFonts="1">
    <font>
      <sz val="10"/>
      <name val="Arial"/>
    </font>
    <font>
      <sz val="10"/>
      <name val="Arial"/>
    </font>
    <font>
      <sz val="8"/>
      <name val="Arial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/>
    </xf>
    <xf numFmtId="9" fontId="0" fillId="0" borderId="0" xfId="0" applyNumberFormat="1"/>
    <xf numFmtId="44" fontId="0" fillId="0" borderId="0" xfId="2" applyFont="1"/>
    <xf numFmtId="165" fontId="0" fillId="0" borderId="0" xfId="2" applyNumberFormat="1" applyFont="1"/>
    <xf numFmtId="165" fontId="0" fillId="0" borderId="0" xfId="0" applyNumberFormat="1"/>
    <xf numFmtId="9" fontId="0" fillId="0" borderId="0" xfId="3" applyFont="1"/>
    <xf numFmtId="166" fontId="0" fillId="0" borderId="0" xfId="3" applyNumberFormat="1" applyFont="1"/>
    <xf numFmtId="0" fontId="0" fillId="0" borderId="0" xfId="0" quotePrefix="1"/>
    <xf numFmtId="44" fontId="0" fillId="0" borderId="1" xfId="2" applyFont="1" applyBorder="1"/>
    <xf numFmtId="44" fontId="0" fillId="0" borderId="0" xfId="0" applyNumberFormat="1"/>
    <xf numFmtId="0" fontId="0" fillId="0" borderId="1" xfId="0" applyBorder="1"/>
    <xf numFmtId="0" fontId="0" fillId="0" borderId="0" xfId="0" quotePrefix="1" applyAlignment="1">
      <alignment horizontal="left"/>
    </xf>
    <xf numFmtId="1" fontId="0" fillId="0" borderId="0" xfId="0" applyNumberFormat="1"/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165" fontId="0" fillId="0" borderId="2" xfId="0" applyNumberFormat="1" applyBorder="1"/>
    <xf numFmtId="172" fontId="0" fillId="0" borderId="1" xfId="1" applyNumberFormat="1" applyFont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horizontal="center" wrapText="1"/>
    </xf>
    <xf numFmtId="169" fontId="0" fillId="0" borderId="0" xfId="0" applyNumberFormat="1" applyAlignment="1">
      <alignment horizontal="center"/>
    </xf>
    <xf numFmtId="165" fontId="0" fillId="0" borderId="1" xfId="2" applyNumberFormat="1" applyFont="1" applyBorder="1"/>
    <xf numFmtId="0" fontId="0" fillId="0" borderId="1" xfId="0" applyBorder="1" applyAlignment="1">
      <alignment horizontal="center"/>
    </xf>
    <xf numFmtId="0" fontId="0" fillId="0" borderId="0" xfId="0" applyNumberFormat="1" applyAlignment="1">
      <alignment wrapText="1"/>
    </xf>
    <xf numFmtId="0" fontId="0" fillId="0" borderId="0" xfId="0" applyAlignment="1">
      <alignment horizontal="left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tabSelected="1" workbookViewId="0">
      <selection activeCell="A2" sqref="A2"/>
    </sheetView>
  </sheetViews>
  <sheetFormatPr defaultRowHeight="12.75" x14ac:dyDescent="0.2"/>
  <cols>
    <col min="1" max="1" width="133" style="17" customWidth="1"/>
  </cols>
  <sheetData>
    <row r="1" spans="1:1" ht="38.25" x14ac:dyDescent="0.2">
      <c r="A1" s="26" t="s">
        <v>38</v>
      </c>
    </row>
    <row r="3" spans="1:1" ht="30" customHeight="1" x14ac:dyDescent="0.2">
      <c r="A3" s="17" t="s">
        <v>39</v>
      </c>
    </row>
  </sheetData>
  <phoneticPr fontId="2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zoomScale="75" workbookViewId="0"/>
  </sheetViews>
  <sheetFormatPr defaultRowHeight="12.75" x14ac:dyDescent="0.2"/>
  <cols>
    <col min="1" max="1" width="12.7109375" customWidth="1"/>
    <col min="2" max="6" width="11.28515625" customWidth="1"/>
    <col min="7" max="7" width="12.28515625" customWidth="1"/>
    <col min="8" max="8" width="12.7109375" customWidth="1"/>
    <col min="9" max="9" width="15.140625" customWidth="1"/>
  </cols>
  <sheetData>
    <row r="1" spans="1:9" x14ac:dyDescent="0.2">
      <c r="A1" t="s">
        <v>0</v>
      </c>
      <c r="B1" s="1">
        <v>1991</v>
      </c>
      <c r="C1" s="1">
        <v>1992</v>
      </c>
      <c r="D1" s="1">
        <v>1993</v>
      </c>
      <c r="E1" s="1">
        <v>1994</v>
      </c>
      <c r="F1" s="1">
        <v>1995</v>
      </c>
      <c r="G1" s="1" t="s">
        <v>1</v>
      </c>
      <c r="H1" t="s">
        <v>2</v>
      </c>
      <c r="I1" s="1" t="s">
        <v>3</v>
      </c>
    </row>
    <row r="2" spans="1:9" x14ac:dyDescent="0.2">
      <c r="A2" t="s">
        <v>4</v>
      </c>
      <c r="B2" s="4">
        <v>744796</v>
      </c>
      <c r="C2" s="4">
        <v>796833</v>
      </c>
      <c r="D2" s="4">
        <v>841426</v>
      </c>
      <c r="E2" s="4">
        <v>823930</v>
      </c>
      <c r="F2" s="4">
        <v>858723</v>
      </c>
    </row>
    <row r="3" spans="1:9" x14ac:dyDescent="0.2">
      <c r="A3" t="s">
        <v>5</v>
      </c>
      <c r="B3" s="4">
        <v>709731</v>
      </c>
      <c r="C3" s="4">
        <v>688530</v>
      </c>
      <c r="D3" s="4">
        <v>775038</v>
      </c>
      <c r="E3" s="4">
        <v>736064</v>
      </c>
      <c r="F3" s="4">
        <v>756305</v>
      </c>
    </row>
    <row r="4" spans="1:9" x14ac:dyDescent="0.2">
      <c r="A4" t="s">
        <v>6</v>
      </c>
      <c r="B4" s="4">
        <v>734517</v>
      </c>
      <c r="C4" s="4">
        <v>757711</v>
      </c>
      <c r="D4" s="4">
        <v>748997</v>
      </c>
      <c r="E4" s="4">
        <v>728959</v>
      </c>
      <c r="F4" s="4">
        <v>693987</v>
      </c>
    </row>
    <row r="5" spans="1:9" x14ac:dyDescent="0.2">
      <c r="A5" t="s">
        <v>7</v>
      </c>
      <c r="B5" s="4">
        <v>772330</v>
      </c>
      <c r="C5" s="4">
        <v>764423</v>
      </c>
      <c r="D5" s="4">
        <v>763036</v>
      </c>
      <c r="E5" s="4">
        <v>826948</v>
      </c>
      <c r="F5" s="4">
        <v>813930</v>
      </c>
    </row>
    <row r="6" spans="1:9" x14ac:dyDescent="0.2">
      <c r="A6" t="s">
        <v>8</v>
      </c>
      <c r="B6" s="4">
        <f>SUM(B1:B5)</f>
        <v>2963365</v>
      </c>
      <c r="C6" s="4">
        <f>SUM(C1:C5)</f>
        <v>3009489</v>
      </c>
      <c r="D6" s="4">
        <f>SUM(D1:D5)</f>
        <v>3130490</v>
      </c>
      <c r="E6" s="4">
        <f>SUM(E1:E5)</f>
        <v>3117895</v>
      </c>
      <c r="F6" s="4">
        <f>SUM(F1:F5)</f>
        <v>3124940</v>
      </c>
      <c r="G6" s="5">
        <f>SUM(B6:F6)</f>
        <v>15346179</v>
      </c>
    </row>
    <row r="7" spans="1:9" x14ac:dyDescent="0.2">
      <c r="A7" s="2">
        <v>0.01</v>
      </c>
      <c r="B7" s="4">
        <f>B6/100</f>
        <v>29633.65</v>
      </c>
      <c r="C7" s="4">
        <f>C6/100</f>
        <v>30094.89</v>
      </c>
      <c r="D7" s="4">
        <f>D6/100</f>
        <v>31304.9</v>
      </c>
      <c r="E7" s="4">
        <f>E6/100</f>
        <v>31178.95</v>
      </c>
      <c r="F7" s="4">
        <f>F6/100</f>
        <v>31249.4</v>
      </c>
      <c r="G7" s="5">
        <f>SUM(B7:F7)</f>
        <v>153461.79</v>
      </c>
    </row>
    <row r="9" spans="1:9" x14ac:dyDescent="0.2">
      <c r="A9" t="s">
        <v>9</v>
      </c>
    </row>
    <row r="10" spans="1:9" x14ac:dyDescent="0.2">
      <c r="B10" s="4">
        <v>19950.371528639997</v>
      </c>
      <c r="C10" s="4">
        <v>20357.521967999997</v>
      </c>
      <c r="D10" s="4">
        <v>20772.981599999999</v>
      </c>
      <c r="E10" s="4">
        <v>21196.92</v>
      </c>
      <c r="F10" s="4">
        <v>22083.4</v>
      </c>
      <c r="G10" s="5">
        <f>SUM(B10:F10)</f>
        <v>104361.19509664</v>
      </c>
    </row>
    <row r="11" spans="1:9" x14ac:dyDescent="0.2">
      <c r="A11" s="7">
        <v>0.128</v>
      </c>
      <c r="B11" s="4">
        <f>B10*$A$11</f>
        <v>2553.6475556659198</v>
      </c>
      <c r="C11" s="4">
        <f>C10*$A$11</f>
        <v>2605.7628119039996</v>
      </c>
      <c r="D11" s="4">
        <f>D10*$A$11</f>
        <v>2658.9416447999997</v>
      </c>
      <c r="E11" s="4">
        <f>E10*$A$11</f>
        <v>2713.2057599999998</v>
      </c>
      <c r="F11" s="4">
        <f>F10*$A$11</f>
        <v>2826.6752000000001</v>
      </c>
      <c r="G11" s="5">
        <f>SUM(B11:F11)</f>
        <v>13358.232972369917</v>
      </c>
    </row>
    <row r="13" spans="1:9" x14ac:dyDescent="0.2">
      <c r="A13" s="6">
        <v>0.75</v>
      </c>
      <c r="B13" s="1">
        <v>1991</v>
      </c>
      <c r="C13" s="1">
        <v>1992</v>
      </c>
      <c r="D13" s="1">
        <v>1993</v>
      </c>
      <c r="E13" s="1">
        <v>1994</v>
      </c>
      <c r="F13" s="1">
        <v>1995</v>
      </c>
      <c r="G13" s="1" t="s">
        <v>1</v>
      </c>
    </row>
    <row r="14" spans="1:9" x14ac:dyDescent="0.2">
      <c r="A14" t="s">
        <v>4</v>
      </c>
      <c r="B14" s="4">
        <f>B2*$A$13</f>
        <v>558597</v>
      </c>
      <c r="C14" s="4">
        <f>C2*$A$13</f>
        <v>597624.75</v>
      </c>
      <c r="D14" s="4">
        <f>D2*$A$13</f>
        <v>631069.5</v>
      </c>
      <c r="E14" s="4">
        <f>E2*$A$13</f>
        <v>617947.5</v>
      </c>
      <c r="F14" s="4">
        <f>F2*$A$13</f>
        <v>644042.25</v>
      </c>
    </row>
    <row r="15" spans="1:9" x14ac:dyDescent="0.2">
      <c r="A15" t="s">
        <v>5</v>
      </c>
      <c r="B15" s="4">
        <f t="shared" ref="B15:F17" si="0">B3*$A$13</f>
        <v>532298.25</v>
      </c>
      <c r="C15" s="4">
        <f t="shared" si="0"/>
        <v>516397.5</v>
      </c>
      <c r="D15" s="4">
        <f t="shared" si="0"/>
        <v>581278.5</v>
      </c>
      <c r="E15" s="4">
        <f t="shared" si="0"/>
        <v>552048</v>
      </c>
      <c r="F15" s="4">
        <f t="shared" si="0"/>
        <v>567228.75</v>
      </c>
    </row>
    <row r="16" spans="1:9" x14ac:dyDescent="0.2">
      <c r="A16" t="s">
        <v>6</v>
      </c>
      <c r="B16" s="4">
        <f t="shared" si="0"/>
        <v>550887.75</v>
      </c>
      <c r="C16" s="4">
        <f t="shared" si="0"/>
        <v>568283.25</v>
      </c>
      <c r="D16" s="4">
        <f t="shared" si="0"/>
        <v>561747.75</v>
      </c>
      <c r="E16" s="4">
        <f t="shared" si="0"/>
        <v>546719.25</v>
      </c>
      <c r="F16" s="4">
        <f t="shared" si="0"/>
        <v>520490.25</v>
      </c>
    </row>
    <row r="17" spans="1:9" x14ac:dyDescent="0.2">
      <c r="A17" t="s">
        <v>7</v>
      </c>
      <c r="B17" s="4">
        <f t="shared" si="0"/>
        <v>579247.5</v>
      </c>
      <c r="C17" s="4">
        <f t="shared" si="0"/>
        <v>573317.25</v>
      </c>
      <c r="D17" s="4">
        <f t="shared" si="0"/>
        <v>572277</v>
      </c>
      <c r="E17" s="4">
        <f t="shared" si="0"/>
        <v>620211</v>
      </c>
      <c r="F17" s="4">
        <f t="shared" si="0"/>
        <v>610447.5</v>
      </c>
    </row>
    <row r="18" spans="1:9" x14ac:dyDescent="0.2">
      <c r="A18" t="s">
        <v>8</v>
      </c>
      <c r="B18" s="4">
        <f>SUM(B13:B17)</f>
        <v>2223021.5</v>
      </c>
      <c r="C18" s="4">
        <f>SUM(C13:C17)</f>
        <v>2257614.75</v>
      </c>
      <c r="D18" s="4">
        <f>SUM(D13:D17)</f>
        <v>2348365.75</v>
      </c>
      <c r="E18" s="4">
        <f>SUM(E13:E17)</f>
        <v>2338919.75</v>
      </c>
      <c r="F18" s="4">
        <f>SUM(F13:F17)</f>
        <v>2344203.75</v>
      </c>
      <c r="G18" s="5">
        <f>SUM(B18:F18)</f>
        <v>11512125.5</v>
      </c>
      <c r="H18" s="5">
        <f>G6-G18</f>
        <v>3834053.5</v>
      </c>
      <c r="I18" s="4">
        <f>H18/0.25</f>
        <v>15336214</v>
      </c>
    </row>
    <row r="19" spans="1:9" x14ac:dyDescent="0.2">
      <c r="A19" s="2">
        <v>0.01</v>
      </c>
      <c r="B19" s="4">
        <f>B18/100</f>
        <v>22230.215</v>
      </c>
      <c r="C19" s="4">
        <f>C18/100</f>
        <v>22576.147499999999</v>
      </c>
      <c r="D19" s="4">
        <f>D18/100</f>
        <v>23483.657500000001</v>
      </c>
      <c r="E19" s="4">
        <f>E18/100</f>
        <v>23389.197499999998</v>
      </c>
      <c r="F19" s="4">
        <f>F18/100</f>
        <v>23442.037499999999</v>
      </c>
      <c r="G19" s="5">
        <f>SUM(B19:F19)</f>
        <v>115121.255</v>
      </c>
      <c r="H19" s="5">
        <f>G7-G19</f>
        <v>38340.535000000003</v>
      </c>
      <c r="I19" s="4">
        <f>H19/0.25</f>
        <v>153362.14000000001</v>
      </c>
    </row>
    <row r="21" spans="1:9" x14ac:dyDescent="0.2">
      <c r="A21" t="s">
        <v>9</v>
      </c>
    </row>
    <row r="22" spans="1:9" x14ac:dyDescent="0.2">
      <c r="B22" s="4">
        <f>B10*$A$13</f>
        <v>14962.778646479997</v>
      </c>
      <c r="C22" s="4">
        <f>C10*$A$13</f>
        <v>15268.141475999997</v>
      </c>
      <c r="D22" s="4">
        <f>D10*$A$13</f>
        <v>15579.736199999999</v>
      </c>
      <c r="E22" s="4">
        <f>E10*$A$13</f>
        <v>15897.689999999999</v>
      </c>
      <c r="F22" s="4">
        <f>F10*$A$13</f>
        <v>16562.550000000003</v>
      </c>
      <c r="G22" s="5">
        <f>SUM(B22:F22)</f>
        <v>78270.896322479995</v>
      </c>
    </row>
    <row r="23" spans="1:9" x14ac:dyDescent="0.2">
      <c r="A23" s="7">
        <v>0.128</v>
      </c>
      <c r="B23" s="4">
        <f>B22*$A$11</f>
        <v>1915.2356667494398</v>
      </c>
      <c r="C23" s="4">
        <f>C22*$A$11</f>
        <v>1954.3221089279996</v>
      </c>
      <c r="D23" s="4">
        <f>D22*$A$11</f>
        <v>1994.2062335999999</v>
      </c>
      <c r="E23" s="4">
        <f>E22*$A$11</f>
        <v>2034.9043199999999</v>
      </c>
      <c r="F23" s="4">
        <f>F22*$A$11</f>
        <v>2120.0064000000002</v>
      </c>
      <c r="G23" s="5">
        <f>SUM(B23:F23)</f>
        <v>10018.674729277438</v>
      </c>
      <c r="H23" s="5">
        <f>G11-G23</f>
        <v>3339.5582430924787</v>
      </c>
    </row>
    <row r="26" spans="1:9" x14ac:dyDescent="0.2">
      <c r="A26" t="s">
        <v>10</v>
      </c>
      <c r="B26" s="3">
        <v>1.1000000000000001</v>
      </c>
      <c r="C26" t="s">
        <v>11</v>
      </c>
      <c r="D26" s="4">
        <f>5500*B26</f>
        <v>6050.0000000000009</v>
      </c>
      <c r="E26" s="8" t="s">
        <v>12</v>
      </c>
      <c r="F26" s="4">
        <f>D26*12</f>
        <v>72600.000000000015</v>
      </c>
      <c r="G26" s="8" t="s">
        <v>13</v>
      </c>
    </row>
    <row r="27" spans="1:9" ht="13.5" thickBot="1" x14ac:dyDescent="0.25">
      <c r="A27" t="s">
        <v>14</v>
      </c>
      <c r="B27" s="9">
        <f>B26*A13</f>
        <v>0.82500000000000007</v>
      </c>
      <c r="C27" t="s">
        <v>11</v>
      </c>
      <c r="D27" s="4">
        <f>5500*B27</f>
        <v>4537.5</v>
      </c>
      <c r="E27" s="8" t="s">
        <v>12</v>
      </c>
      <c r="F27" s="4">
        <f>D27*12</f>
        <v>54450</v>
      </c>
      <c r="G27" s="8" t="s">
        <v>13</v>
      </c>
    </row>
    <row r="28" spans="1:9" x14ac:dyDescent="0.2">
      <c r="A28" t="s">
        <v>2</v>
      </c>
      <c r="B28" s="10">
        <f>B26-B27</f>
        <v>0.27500000000000002</v>
      </c>
      <c r="C28" t="s">
        <v>15</v>
      </c>
    </row>
    <row r="29" spans="1:9" ht="13.5" thickBot="1" x14ac:dyDescent="0.25">
      <c r="A29" t="s">
        <v>16</v>
      </c>
      <c r="B29" s="11">
        <v>22000</v>
      </c>
    </row>
    <row r="30" spans="1:9" x14ac:dyDescent="0.2">
      <c r="A30" t="s">
        <v>17</v>
      </c>
      <c r="B30">
        <f>B29*B28</f>
        <v>6050.0000000000009</v>
      </c>
      <c r="C30" t="s">
        <v>11</v>
      </c>
      <c r="D30" s="4">
        <f>B30*12</f>
        <v>72600.000000000015</v>
      </c>
      <c r="E30" s="8" t="s">
        <v>13</v>
      </c>
    </row>
    <row r="31" spans="1:9" x14ac:dyDescent="0.2">
      <c r="A31" t="s">
        <v>18</v>
      </c>
      <c r="D31">
        <f>D30/0.1</f>
        <v>726000.00000000012</v>
      </c>
      <c r="E31" t="s">
        <v>19</v>
      </c>
    </row>
  </sheetData>
  <phoneticPr fontId="0" type="noConversion"/>
  <printOptions horizontalCentered="1" verticalCentered="1" headings="1" gridLines="1"/>
  <pageMargins left="0.75" right="0.75" top="1" bottom="1" header="0.5" footer="0.5"/>
  <pageSetup orientation="landscape" horizontalDpi="300" verticalDpi="300" r:id="rId1"/>
  <headerFooter alignWithMargins="0">
    <oddHeader>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zoomScale="75" workbookViewId="0"/>
  </sheetViews>
  <sheetFormatPr defaultRowHeight="12.75" x14ac:dyDescent="0.2"/>
  <cols>
    <col min="1" max="1" width="12.7109375" customWidth="1"/>
    <col min="2" max="6" width="11.28515625" customWidth="1"/>
    <col min="7" max="7" width="12.28515625" customWidth="1"/>
    <col min="8" max="8" width="12.7109375" customWidth="1"/>
    <col min="9" max="9" width="15.140625" customWidth="1"/>
  </cols>
  <sheetData>
    <row r="1" spans="1:9" x14ac:dyDescent="0.2">
      <c r="A1" t="s">
        <v>0</v>
      </c>
      <c r="B1" s="1">
        <v>1991</v>
      </c>
      <c r="C1" s="1">
        <v>1992</v>
      </c>
      <c r="D1" s="1">
        <v>1993</v>
      </c>
      <c r="E1" s="1">
        <v>1994</v>
      </c>
      <c r="F1" s="1">
        <v>1995</v>
      </c>
      <c r="G1" s="1" t="s">
        <v>1</v>
      </c>
      <c r="H1" t="s">
        <v>2</v>
      </c>
      <c r="I1" s="1" t="s">
        <v>3</v>
      </c>
    </row>
    <row r="2" spans="1:9" x14ac:dyDescent="0.2">
      <c r="A2" t="s">
        <v>4</v>
      </c>
      <c r="B2" s="4">
        <f>29738.87-7792.32+27746.15-8135.97+33422.91-8892.12</f>
        <v>66087.520000000004</v>
      </c>
      <c r="C2" s="4">
        <f>32735.12-3273.7+33089.81-2947.54+35933.06-2977.57</f>
        <v>92559.18</v>
      </c>
      <c r="D2" s="4">
        <f>34055.77-5706.95+33719.48-5997.88+39388.43-7479.43</f>
        <v>87979.420000000013</v>
      </c>
      <c r="E2" s="4">
        <f>38927.11-7588.05+37068.28-7024.47+41725.94-8139.54</f>
        <v>94969.27</v>
      </c>
      <c r="F2" s="4">
        <f>33227.76-6736.35+28635.43-5988.16+33061.89-6973.64</f>
        <v>75226.930000000008</v>
      </c>
    </row>
    <row r="3" spans="1:9" x14ac:dyDescent="0.2">
      <c r="A3" t="s">
        <v>5</v>
      </c>
      <c r="B3" s="4">
        <f>29165.28-5544.89+36554.44-7009.67+42475.31-7747.3</f>
        <v>87893.17</v>
      </c>
      <c r="C3" s="4">
        <f>42194.1-3036.84+46052.78-3984.13+43702.84-3213.49</f>
        <v>121715.25999999998</v>
      </c>
      <c r="D3" s="4">
        <f>42722.27-7344.94+48957.8-8183.28+44655.91-8018.09</f>
        <v>112789.67000000001</v>
      </c>
      <c r="E3" s="4">
        <f>42708.07-8200.34+46492.82-8318.1+46408.62-9411.8</f>
        <v>109679.26999999997</v>
      </c>
      <c r="F3" s="4">
        <f>30666.17-6527.04+35173.9-7043.19+36547.7-7497.25</f>
        <v>81320.289999999994</v>
      </c>
    </row>
    <row r="4" spans="1:9" x14ac:dyDescent="0.2">
      <c r="A4" t="s">
        <v>6</v>
      </c>
      <c r="B4" s="4">
        <f>47430.38-6225.78+52602.17-3828.48+40210.75-3284.03</f>
        <v>126905.01</v>
      </c>
      <c r="C4" s="4">
        <f>52678.61-4636.02+58235.74-4958.79+44121.29-4209.19</f>
        <v>141231.63999999998</v>
      </c>
      <c r="D4" s="4">
        <f>55551.9-9598.75+56150.03-10133.13+46694.77-8674.85</f>
        <v>129989.96999999997</v>
      </c>
      <c r="E4" s="4">
        <f>53820.08-9897.92+56389.07-11107.91+44396.28-9481.53</f>
        <v>124118.07</v>
      </c>
      <c r="F4" s="4">
        <f>42028.37-8820.75+45325.09-9381.84+36475.71-8114.53</f>
        <v>97512.049999999988</v>
      </c>
    </row>
    <row r="5" spans="1:9" x14ac:dyDescent="0.2">
      <c r="A5" t="s">
        <v>7</v>
      </c>
      <c r="B5" s="4">
        <f>34516.29-3123.41+35332.1-3084.56+36837.56-3009.95</f>
        <v>97468.03</v>
      </c>
      <c r="C5" s="4">
        <f>41384.12-4105.98+35387.73-3405.33+44452.32-5308.95</f>
        <v>108403.90999999999</v>
      </c>
      <c r="D5" s="4">
        <f>45436.25-8508.05+39133.44-7829.28+46061.47-7388.26</f>
        <v>106905.57</v>
      </c>
      <c r="E5" s="4">
        <f>41829.6-7971.14+32774.61-6489.8+39220.57-6643.04</f>
        <v>92720.8</v>
      </c>
      <c r="F5" s="4">
        <f>32290.26-7156.21+29468.83-6683.05+33537.51-6406.83</f>
        <v>75050.509999999995</v>
      </c>
    </row>
    <row r="6" spans="1:9" x14ac:dyDescent="0.2">
      <c r="A6" t="s">
        <v>8</v>
      </c>
      <c r="B6" s="4">
        <f>SUM(B1:B5)</f>
        <v>380344.73</v>
      </c>
      <c r="C6" s="4">
        <f>SUM(C1:C5)</f>
        <v>465901.98999999993</v>
      </c>
      <c r="D6" s="4">
        <f>SUM(D1:D5)</f>
        <v>439657.63</v>
      </c>
      <c r="E6" s="4">
        <f>SUM(E1:E5)</f>
        <v>423481.41</v>
      </c>
      <c r="F6" s="4">
        <f>SUM(F1:F5)</f>
        <v>331104.77999999997</v>
      </c>
      <c r="G6" s="5">
        <f>SUM(B6:F6)</f>
        <v>2040490.54</v>
      </c>
    </row>
    <row r="7" spans="1:9" x14ac:dyDescent="0.2">
      <c r="A7" s="2">
        <v>0.01</v>
      </c>
      <c r="B7" s="4">
        <f>B6/100</f>
        <v>3803.4472999999998</v>
      </c>
      <c r="C7" s="4">
        <f>C6/100</f>
        <v>4659.0198999999993</v>
      </c>
      <c r="D7" s="4">
        <f>D6/100</f>
        <v>4396.5762999999997</v>
      </c>
      <c r="E7" s="4">
        <f>E6/100</f>
        <v>4234.8140999999996</v>
      </c>
      <c r="F7" s="4">
        <f>F6/100</f>
        <v>3311.0477999999998</v>
      </c>
      <c r="G7" s="5">
        <f>SUM(B7:F7)</f>
        <v>20404.9054</v>
      </c>
    </row>
    <row r="9" spans="1:9" x14ac:dyDescent="0.2">
      <c r="A9" t="s">
        <v>9</v>
      </c>
    </row>
    <row r="10" spans="1:9" x14ac:dyDescent="0.2">
      <c r="B10" s="4">
        <v>19950.371528639997</v>
      </c>
      <c r="C10" s="4">
        <v>20357.521967999997</v>
      </c>
      <c r="D10" s="4">
        <v>20772.981599999999</v>
      </c>
      <c r="E10" s="4">
        <v>21196.92</v>
      </c>
      <c r="F10" s="4">
        <v>22083.4</v>
      </c>
      <c r="G10" s="5">
        <f>SUM(B10:F10)</f>
        <v>104361.19509664</v>
      </c>
    </row>
    <row r="11" spans="1:9" x14ac:dyDescent="0.2">
      <c r="A11" s="7">
        <v>0.128</v>
      </c>
      <c r="B11" s="4">
        <f>B10*$A$11</f>
        <v>2553.6475556659198</v>
      </c>
      <c r="C11" s="4">
        <f>C10*$A$11</f>
        <v>2605.7628119039996</v>
      </c>
      <c r="D11" s="4">
        <f>D10*$A$11</f>
        <v>2658.9416447999997</v>
      </c>
      <c r="E11" s="4">
        <f>E10*$A$11</f>
        <v>2713.2057599999998</v>
      </c>
      <c r="F11" s="4">
        <f>F10*$A$11</f>
        <v>2826.6752000000001</v>
      </c>
      <c r="G11" s="5">
        <f>SUM(B11:F11)</f>
        <v>13358.232972369917</v>
      </c>
    </row>
    <row r="13" spans="1:9" x14ac:dyDescent="0.2">
      <c r="A13" s="6">
        <v>0.75</v>
      </c>
      <c r="B13" s="1">
        <v>1991</v>
      </c>
      <c r="C13" s="1">
        <v>1992</v>
      </c>
      <c r="D13" s="1">
        <v>1993</v>
      </c>
      <c r="E13" s="1">
        <v>1994</v>
      </c>
      <c r="F13" s="1">
        <v>1995</v>
      </c>
      <c r="G13" s="1" t="s">
        <v>1</v>
      </c>
    </row>
    <row r="14" spans="1:9" x14ac:dyDescent="0.2">
      <c r="A14" t="s">
        <v>4</v>
      </c>
      <c r="B14" s="4">
        <f t="shared" ref="B14:F17" si="0">B2*$A$13</f>
        <v>49565.64</v>
      </c>
      <c r="C14" s="4">
        <f t="shared" si="0"/>
        <v>69419.384999999995</v>
      </c>
      <c r="D14" s="4">
        <f t="shared" si="0"/>
        <v>65984.565000000002</v>
      </c>
      <c r="E14" s="4">
        <f t="shared" si="0"/>
        <v>71226.952499999999</v>
      </c>
      <c r="F14" s="4">
        <f t="shared" si="0"/>
        <v>56420.197500000009</v>
      </c>
    </row>
    <row r="15" spans="1:9" x14ac:dyDescent="0.2">
      <c r="A15" t="s">
        <v>5</v>
      </c>
      <c r="B15" s="4">
        <f t="shared" si="0"/>
        <v>65919.877500000002</v>
      </c>
      <c r="C15" s="4">
        <f t="shared" si="0"/>
        <v>91286.444999999978</v>
      </c>
      <c r="D15" s="4">
        <f t="shared" si="0"/>
        <v>84592.252500000002</v>
      </c>
      <c r="E15" s="4">
        <f t="shared" si="0"/>
        <v>82259.452499999985</v>
      </c>
      <c r="F15" s="4">
        <f t="shared" si="0"/>
        <v>60990.217499999999</v>
      </c>
    </row>
    <row r="16" spans="1:9" x14ac:dyDescent="0.2">
      <c r="A16" t="s">
        <v>6</v>
      </c>
      <c r="B16" s="4">
        <f t="shared" si="0"/>
        <v>95178.757499999992</v>
      </c>
      <c r="C16" s="4">
        <f t="shared" si="0"/>
        <v>105923.72999999998</v>
      </c>
      <c r="D16" s="4">
        <f t="shared" si="0"/>
        <v>97492.477499999979</v>
      </c>
      <c r="E16" s="4">
        <f t="shared" si="0"/>
        <v>93088.552500000005</v>
      </c>
      <c r="F16" s="4">
        <f t="shared" si="0"/>
        <v>73134.037499999991</v>
      </c>
    </row>
    <row r="17" spans="1:9" x14ac:dyDescent="0.2">
      <c r="A17" t="s">
        <v>7</v>
      </c>
      <c r="B17" s="4">
        <f t="shared" si="0"/>
        <v>73101.022499999992</v>
      </c>
      <c r="C17" s="4">
        <f t="shared" si="0"/>
        <v>81302.932499999995</v>
      </c>
      <c r="D17" s="4">
        <f t="shared" si="0"/>
        <v>80179.177500000005</v>
      </c>
      <c r="E17" s="4">
        <f t="shared" si="0"/>
        <v>69540.600000000006</v>
      </c>
      <c r="F17" s="4">
        <f t="shared" si="0"/>
        <v>56287.882499999992</v>
      </c>
    </row>
    <row r="18" spans="1:9" x14ac:dyDescent="0.2">
      <c r="A18" t="s">
        <v>8</v>
      </c>
      <c r="B18" s="4">
        <f>SUM(B13:B17)</f>
        <v>285756.29749999999</v>
      </c>
      <c r="C18" s="4">
        <f>SUM(C13:C17)</f>
        <v>349924.49249999993</v>
      </c>
      <c r="D18" s="4">
        <f>SUM(D13:D17)</f>
        <v>330241.47249999997</v>
      </c>
      <c r="E18" s="4">
        <f>SUM(E13:E17)</f>
        <v>318109.5575</v>
      </c>
      <c r="F18" s="4">
        <f>SUM(F13:F17)</f>
        <v>248827.33500000002</v>
      </c>
      <c r="G18" s="5">
        <f>SUM(B18:F18)</f>
        <v>1532859.1549999998</v>
      </c>
      <c r="H18" s="5">
        <f>G6-G18</f>
        <v>507631.38500000024</v>
      </c>
      <c r="I18" s="4">
        <f>H18/0.25</f>
        <v>2030525.540000001</v>
      </c>
    </row>
    <row r="19" spans="1:9" x14ac:dyDescent="0.2">
      <c r="A19" s="2">
        <v>0.01</v>
      </c>
      <c r="B19" s="4">
        <f>B18/100</f>
        <v>2857.5629749999998</v>
      </c>
      <c r="C19" s="4">
        <f>C18/100</f>
        <v>3499.2449249999995</v>
      </c>
      <c r="D19" s="4">
        <f>D18/100</f>
        <v>3302.4147249999996</v>
      </c>
      <c r="E19" s="4">
        <f>E18/100</f>
        <v>3181.0955749999998</v>
      </c>
      <c r="F19" s="4">
        <f>F18/100</f>
        <v>2488.2733500000004</v>
      </c>
      <c r="G19" s="5">
        <f>SUM(B19:F19)</f>
        <v>15328.591549999997</v>
      </c>
      <c r="H19" s="5">
        <f>G7-G19</f>
        <v>5076.3138500000023</v>
      </c>
      <c r="I19" s="4">
        <f>H19/0.25</f>
        <v>20305.255400000009</v>
      </c>
    </row>
    <row r="21" spans="1:9" x14ac:dyDescent="0.2">
      <c r="A21" t="s">
        <v>9</v>
      </c>
    </row>
    <row r="22" spans="1:9" x14ac:dyDescent="0.2">
      <c r="B22" s="4">
        <f>B10*$A$13</f>
        <v>14962.778646479997</v>
      </c>
      <c r="C22" s="4">
        <f>C10*$A$13</f>
        <v>15268.141475999997</v>
      </c>
      <c r="D22" s="4">
        <f>D10*$A$13</f>
        <v>15579.736199999999</v>
      </c>
      <c r="E22" s="4">
        <f>E10*$A$13</f>
        <v>15897.689999999999</v>
      </c>
      <c r="F22" s="4">
        <f>F10*$A$13</f>
        <v>16562.550000000003</v>
      </c>
      <c r="G22" s="5">
        <f>SUM(B22:F22)</f>
        <v>78270.896322479995</v>
      </c>
    </row>
    <row r="23" spans="1:9" x14ac:dyDescent="0.2">
      <c r="A23" s="7">
        <v>0.128</v>
      </c>
      <c r="B23" s="4">
        <f>B22*$A$11</f>
        <v>1915.2356667494398</v>
      </c>
      <c r="C23" s="4">
        <f>C22*$A$11</f>
        <v>1954.3221089279996</v>
      </c>
      <c r="D23" s="4">
        <f>D22*$A$11</f>
        <v>1994.2062335999999</v>
      </c>
      <c r="E23" s="4">
        <f>E22*$A$11</f>
        <v>2034.9043199999999</v>
      </c>
      <c r="F23" s="4">
        <f>F22*$A$11</f>
        <v>2120.0064000000002</v>
      </c>
      <c r="G23" s="5">
        <f>SUM(B23:F23)</f>
        <v>10018.674729277438</v>
      </c>
      <c r="H23" s="5">
        <f>G11-G23</f>
        <v>3339.5582430924787</v>
      </c>
    </row>
    <row r="26" spans="1:9" x14ac:dyDescent="0.2">
      <c r="A26" t="s">
        <v>10</v>
      </c>
      <c r="B26" s="3">
        <v>1.1000000000000001</v>
      </c>
      <c r="C26" t="s">
        <v>11</v>
      </c>
      <c r="D26" s="4">
        <f>4000*B26</f>
        <v>4400</v>
      </c>
      <c r="E26" s="8" t="s">
        <v>12</v>
      </c>
      <c r="F26" s="4">
        <f>D26*12</f>
        <v>52800</v>
      </c>
      <c r="G26" s="8" t="s">
        <v>13</v>
      </c>
    </row>
    <row r="27" spans="1:9" ht="13.5" thickBot="1" x14ac:dyDescent="0.25">
      <c r="A27" t="s">
        <v>14</v>
      </c>
      <c r="B27" s="9">
        <f>B26*A13</f>
        <v>0.82500000000000007</v>
      </c>
      <c r="C27" t="s">
        <v>11</v>
      </c>
      <c r="D27" s="4">
        <f>4000*B27</f>
        <v>3300.0000000000005</v>
      </c>
      <c r="E27" s="8" t="s">
        <v>12</v>
      </c>
      <c r="F27" s="4">
        <f>D27*12</f>
        <v>39600.000000000007</v>
      </c>
      <c r="G27" s="8" t="s">
        <v>13</v>
      </c>
    </row>
    <row r="28" spans="1:9" x14ac:dyDescent="0.2">
      <c r="A28" t="s">
        <v>2</v>
      </c>
      <c r="B28" s="10">
        <f>B26-B27</f>
        <v>0.27500000000000002</v>
      </c>
      <c r="C28" t="s">
        <v>15</v>
      </c>
    </row>
    <row r="29" spans="1:9" ht="13.5" thickBot="1" x14ac:dyDescent="0.25">
      <c r="A29" t="s">
        <v>16</v>
      </c>
      <c r="B29" s="11">
        <v>22000</v>
      </c>
    </row>
    <row r="30" spans="1:9" x14ac:dyDescent="0.2">
      <c r="A30" t="s">
        <v>17</v>
      </c>
      <c r="B30">
        <f>B29*B28</f>
        <v>6050.0000000000009</v>
      </c>
      <c r="C30" t="s">
        <v>11</v>
      </c>
      <c r="D30" s="4">
        <f>B30*12</f>
        <v>72600.000000000015</v>
      </c>
      <c r="E30" s="8" t="s">
        <v>13</v>
      </c>
    </row>
    <row r="31" spans="1:9" x14ac:dyDescent="0.2">
      <c r="A31" t="s">
        <v>18</v>
      </c>
      <c r="D31">
        <f>D30/0.1</f>
        <v>726000.00000000012</v>
      </c>
      <c r="E31" t="s">
        <v>19</v>
      </c>
    </row>
  </sheetData>
  <phoneticPr fontId="0" type="noConversion"/>
  <printOptions horizontalCentered="1" verticalCentered="1" headings="1" gridLines="1"/>
  <pageMargins left="0.75" right="0.75" top="1" bottom="1" header="0.5" footer="0.5"/>
  <pageSetup orientation="landscape" horizontalDpi="0" verticalDpi="0" r:id="rId1"/>
  <headerFooter alignWithMargins="0">
    <oddHeader>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zoomScale="65" workbookViewId="0"/>
  </sheetViews>
  <sheetFormatPr defaultRowHeight="12.75" x14ac:dyDescent="0.2"/>
  <cols>
    <col min="1" max="1" width="29" customWidth="1"/>
    <col min="2" max="2" width="6.7109375" customWidth="1"/>
    <col min="3" max="7" width="12.7109375" customWidth="1"/>
    <col min="8" max="8" width="13.7109375" customWidth="1"/>
    <col min="9" max="9" width="14.7109375" customWidth="1"/>
    <col min="10" max="10" width="13.7109375" customWidth="1"/>
    <col min="11" max="11" width="12.7109375" customWidth="1"/>
  </cols>
  <sheetData>
    <row r="1" spans="1:11" s="17" customFormat="1" ht="26.25" thickBot="1" x14ac:dyDescent="0.25">
      <c r="A1" s="20" t="s">
        <v>20</v>
      </c>
      <c r="B1" s="11"/>
      <c r="C1" s="21">
        <v>1991</v>
      </c>
      <c r="D1" s="21">
        <v>1992</v>
      </c>
      <c r="E1" s="21">
        <v>1993</v>
      </c>
      <c r="F1" s="21">
        <v>1994</v>
      </c>
      <c r="G1" s="21">
        <v>1995</v>
      </c>
      <c r="H1" s="22" t="s">
        <v>21</v>
      </c>
      <c r="I1" s="20" t="s">
        <v>2</v>
      </c>
      <c r="J1" s="22" t="s">
        <v>22</v>
      </c>
      <c r="K1" s="21" t="s">
        <v>23</v>
      </c>
    </row>
    <row r="2" spans="1:11" x14ac:dyDescent="0.2">
      <c r="A2" t="s">
        <v>24</v>
      </c>
      <c r="C2" s="4">
        <f>'Store#1'!B6+'Store#2'!B6</f>
        <v>3343709.73</v>
      </c>
      <c r="D2" s="4">
        <f>'Store#1'!C6+'Store#2'!C6</f>
        <v>3475390.9899999998</v>
      </c>
      <c r="E2" s="4">
        <f>'Store#1'!D6+'Store#2'!D6</f>
        <v>3570147.63</v>
      </c>
      <c r="F2" s="4">
        <f>'Store#1'!E6+'Store#2'!E6</f>
        <v>3541376.41</v>
      </c>
      <c r="G2" s="4">
        <f>'Store#1'!F6+'Store#2'!F6</f>
        <v>3456044.78</v>
      </c>
      <c r="H2" s="5">
        <f>SUM(C2:G2)</f>
        <v>17386669.539999999</v>
      </c>
    </row>
    <row r="3" spans="1:11" x14ac:dyDescent="0.2">
      <c r="A3" s="12" t="s">
        <v>25</v>
      </c>
      <c r="B3" s="2">
        <v>0.01</v>
      </c>
      <c r="C3" s="4">
        <f>C2/100</f>
        <v>33437.097300000001</v>
      </c>
      <c r="D3" s="4">
        <f>D2/100</f>
        <v>34753.909899999999</v>
      </c>
      <c r="E3" s="4">
        <f>E2/100</f>
        <v>35701.476300000002</v>
      </c>
      <c r="F3" s="4">
        <f>F2/100</f>
        <v>35413.7641</v>
      </c>
      <c r="G3" s="4">
        <f>G2/100</f>
        <v>34560.447799999994</v>
      </c>
      <c r="H3" s="5">
        <f>SUM(C3:G3)</f>
        <v>173866.6954</v>
      </c>
    </row>
    <row r="5" spans="1:11" x14ac:dyDescent="0.2">
      <c r="A5" t="s">
        <v>26</v>
      </c>
      <c r="C5" s="4">
        <v>19950.371528639997</v>
      </c>
      <c r="D5" s="4">
        <v>20357.521967999997</v>
      </c>
      <c r="E5" s="4">
        <v>20772.981599999999</v>
      </c>
      <c r="F5" s="4">
        <v>21196.92</v>
      </c>
      <c r="G5" s="4">
        <v>22083.4</v>
      </c>
      <c r="H5" s="5">
        <f>SUM(C5:G5)</f>
        <v>104361.19509664</v>
      </c>
    </row>
    <row r="6" spans="1:11" x14ac:dyDescent="0.2">
      <c r="A6" s="12" t="s">
        <v>25</v>
      </c>
      <c r="B6" s="7">
        <v>0.128</v>
      </c>
      <c r="C6" s="4">
        <f>C5*$B$6</f>
        <v>2553.6475556659198</v>
      </c>
      <c r="D6" s="4">
        <f>D5*$B$6</f>
        <v>2605.7628119039996</v>
      </c>
      <c r="E6" s="4">
        <f>E5*$B$6</f>
        <v>2658.9416447999997</v>
      </c>
      <c r="F6" s="4">
        <f>F5*$B$6</f>
        <v>2713.2057599999998</v>
      </c>
      <c r="G6" s="4">
        <f>G5*$B$6</f>
        <v>2826.6752000000001</v>
      </c>
      <c r="H6" s="5">
        <f>SUM(C6:G6)</f>
        <v>13358.232972369917</v>
      </c>
    </row>
    <row r="8" spans="1:11" x14ac:dyDescent="0.2">
      <c r="A8" t="s">
        <v>37</v>
      </c>
      <c r="B8" s="6">
        <v>0.75</v>
      </c>
      <c r="C8" s="1"/>
      <c r="D8" s="1"/>
      <c r="E8" s="1"/>
      <c r="F8" s="1"/>
      <c r="G8" s="1"/>
      <c r="H8" s="1" t="s">
        <v>1</v>
      </c>
    </row>
    <row r="9" spans="1:11" x14ac:dyDescent="0.2">
      <c r="A9" s="12" t="s">
        <v>27</v>
      </c>
      <c r="C9" s="4">
        <f>C2*$B$8</f>
        <v>2507782.2974999999</v>
      </c>
      <c r="D9" s="4">
        <f>D2*$B$8</f>
        <v>2606543.2424999997</v>
      </c>
      <c r="E9" s="4">
        <f>E2*$B$8</f>
        <v>2677610.7225000001</v>
      </c>
      <c r="F9" s="4">
        <f>F2*$B$8</f>
        <v>2656032.3075000001</v>
      </c>
      <c r="G9" s="4">
        <f>G2*$B$8</f>
        <v>2592033.585</v>
      </c>
      <c r="H9" s="5">
        <f>SUM(C9:G9)</f>
        <v>13040002.155000001</v>
      </c>
      <c r="I9" s="5">
        <f>H2-H9</f>
        <v>4346667.3849999979</v>
      </c>
      <c r="J9" s="4">
        <f>I9/0.4</f>
        <v>10866668.462499995</v>
      </c>
      <c r="K9" s="4">
        <f>J9/5</f>
        <v>2173333.692499999</v>
      </c>
    </row>
    <row r="10" spans="1:11" x14ac:dyDescent="0.2">
      <c r="A10" s="12" t="s">
        <v>25</v>
      </c>
      <c r="B10" s="2">
        <v>0.01</v>
      </c>
      <c r="C10" s="4">
        <f>C9/100</f>
        <v>25077.822974999999</v>
      </c>
      <c r="D10" s="4">
        <f>D9/100</f>
        <v>26065.432424999995</v>
      </c>
      <c r="E10" s="4">
        <f>E9/100</f>
        <v>26776.107225</v>
      </c>
      <c r="F10" s="4">
        <f>F9/100</f>
        <v>26560.323075</v>
      </c>
      <c r="G10" s="4">
        <f>G9/100</f>
        <v>25920.335849999999</v>
      </c>
      <c r="H10" s="5">
        <f>SUM(C10:G10)</f>
        <v>130400.02155</v>
      </c>
      <c r="I10" s="5">
        <f>H3-H10</f>
        <v>43466.673849999992</v>
      </c>
      <c r="J10" s="4">
        <f>I10/0.4</f>
        <v>108666.68462499998</v>
      </c>
      <c r="K10" s="4">
        <f>J10/5</f>
        <v>21733.336924999996</v>
      </c>
    </row>
    <row r="13" spans="1:11" x14ac:dyDescent="0.2">
      <c r="A13" s="12" t="s">
        <v>28</v>
      </c>
      <c r="C13" s="4">
        <f>C5*$B$8</f>
        <v>14962.778646479997</v>
      </c>
      <c r="D13" s="4">
        <f>D5*$B$8</f>
        <v>15268.141475999997</v>
      </c>
      <c r="E13" s="4">
        <f>E5*$B$8</f>
        <v>15579.736199999999</v>
      </c>
      <c r="F13" s="4">
        <f>F5*$B$8</f>
        <v>15897.689999999999</v>
      </c>
      <c r="G13" s="4">
        <f>G5*$B$8</f>
        <v>16562.550000000003</v>
      </c>
      <c r="H13" s="5">
        <f>SUM(C13:G13)</f>
        <v>78270.896322479995</v>
      </c>
    </row>
    <row r="14" spans="1:11" x14ac:dyDescent="0.2">
      <c r="A14" s="12" t="s">
        <v>25</v>
      </c>
      <c r="B14" s="7">
        <v>0.128</v>
      </c>
      <c r="C14" s="4">
        <f>C13*$B$6</f>
        <v>1915.2356667494398</v>
      </c>
      <c r="D14" s="4">
        <f>D13*$B$6</f>
        <v>1954.3221089279996</v>
      </c>
      <c r="E14" s="4">
        <f>E13*$B$6</f>
        <v>1994.2062335999999</v>
      </c>
      <c r="F14" s="4">
        <f>F13*$B$6</f>
        <v>2034.9043199999999</v>
      </c>
      <c r="G14" s="4">
        <f>G13*$B$6</f>
        <v>2120.0064000000002</v>
      </c>
      <c r="H14" s="5">
        <f>SUM(C14:G14)</f>
        <v>10018.674729277438</v>
      </c>
      <c r="I14" s="5">
        <f>H6-H14</f>
        <v>3339.5582430924787</v>
      </c>
      <c r="J14" s="1" t="s">
        <v>29</v>
      </c>
      <c r="K14" s="3">
        <f>I14/5</f>
        <v>667.91164861849575</v>
      </c>
    </row>
    <row r="15" spans="1:11" ht="13.5" thickBot="1" x14ac:dyDescent="0.25"/>
    <row r="16" spans="1:11" ht="13.5" thickBot="1" x14ac:dyDescent="0.25">
      <c r="J16" s="16" t="s">
        <v>30</v>
      </c>
      <c r="K16" s="18">
        <f>K10+K14</f>
        <v>22401.24857361849</v>
      </c>
    </row>
    <row r="17" spans="1:11" x14ac:dyDescent="0.2">
      <c r="J17" s="16"/>
      <c r="K17" s="5"/>
    </row>
    <row r="18" spans="1:11" x14ac:dyDescent="0.2">
      <c r="A18" t="s">
        <v>10</v>
      </c>
      <c r="C18" s="3">
        <v>1.1000000000000001</v>
      </c>
      <c r="D18" s="12" t="s">
        <v>15</v>
      </c>
      <c r="E18" s="4"/>
      <c r="F18" s="8"/>
      <c r="J18" s="16"/>
      <c r="K18" s="5"/>
    </row>
    <row r="19" spans="1:11" ht="13.5" thickBot="1" x14ac:dyDescent="0.25">
      <c r="A19" t="s">
        <v>31</v>
      </c>
      <c r="C19" s="9">
        <f>C18*B8</f>
        <v>0.82500000000000007</v>
      </c>
      <c r="D19" s="12" t="s">
        <v>15</v>
      </c>
      <c r="E19" s="4"/>
      <c r="F19" s="8"/>
    </row>
    <row r="20" spans="1:11" x14ac:dyDescent="0.2">
      <c r="A20" t="s">
        <v>2</v>
      </c>
      <c r="C20" s="10">
        <f>C18-C19</f>
        <v>0.27500000000000002</v>
      </c>
      <c r="D20" t="s">
        <v>15</v>
      </c>
      <c r="G20" s="4"/>
      <c r="H20" s="8"/>
    </row>
    <row r="21" spans="1:11" ht="13.5" thickBot="1" x14ac:dyDescent="0.25">
      <c r="A21" s="12" t="s">
        <v>32</v>
      </c>
      <c r="C21" s="19">
        <v>22000</v>
      </c>
      <c r="G21" s="4"/>
      <c r="H21" s="8"/>
    </row>
    <row r="22" spans="1:11" x14ac:dyDescent="0.2">
      <c r="A22" s="12" t="s">
        <v>33</v>
      </c>
      <c r="C22" s="4">
        <f>C21*C20</f>
        <v>6050.0000000000009</v>
      </c>
      <c r="D22" s="12" t="s">
        <v>34</v>
      </c>
      <c r="E22" s="4">
        <f>C22*12</f>
        <v>72600.000000000015</v>
      </c>
      <c r="F22" s="8" t="s">
        <v>13</v>
      </c>
    </row>
    <row r="23" spans="1:11" x14ac:dyDescent="0.2">
      <c r="A23" s="12" t="s">
        <v>35</v>
      </c>
      <c r="E23" s="4">
        <f>E22/0.1</f>
        <v>726000.00000000012</v>
      </c>
      <c r="F23" t="s">
        <v>19</v>
      </c>
    </row>
    <row r="26" spans="1:11" x14ac:dyDescent="0.2">
      <c r="A26" t="s">
        <v>36</v>
      </c>
    </row>
  </sheetData>
  <phoneticPr fontId="0" type="noConversion"/>
  <printOptions horizontalCentered="1" verticalCentered="1"/>
  <pageMargins left="0.75" right="0.75" top="1.96" bottom="1" header="1.58" footer="0.5"/>
  <pageSetup scale="80" orientation="landscape" horizontalDpi="300" verticalDpi="300" r:id="rId1"/>
  <headerFooter alignWithMargins="0">
    <oddHeader>&amp;CHARDWARE STORE SALES HISTORY AND EXTRAPOLATED SALES HISTORY FOR SITE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/>
  </sheetViews>
  <sheetFormatPr defaultRowHeight="12.75" x14ac:dyDescent="0.2"/>
  <cols>
    <col min="1" max="1" width="21.85546875" customWidth="1"/>
    <col min="2" max="2" width="9.7109375" customWidth="1"/>
    <col min="3" max="3" width="13.85546875" customWidth="1"/>
    <col min="4" max="4" width="9.7109375" customWidth="1"/>
    <col min="6" max="7" width="11.28515625" customWidth="1"/>
  </cols>
  <sheetData>
    <row r="1" spans="1:8" s="1" customFormat="1" ht="13.5" thickBot="1" x14ac:dyDescent="0.25">
      <c r="A1" s="25" t="s">
        <v>40</v>
      </c>
      <c r="B1" s="25" t="s">
        <v>41</v>
      </c>
      <c r="C1" s="25" t="s">
        <v>42</v>
      </c>
      <c r="D1" s="25" t="s">
        <v>43</v>
      </c>
      <c r="E1" s="25" t="s">
        <v>44</v>
      </c>
      <c r="F1" s="25" t="s">
        <v>45</v>
      </c>
      <c r="G1"/>
      <c r="H1"/>
    </row>
    <row r="2" spans="1:8" s="1" customFormat="1" x14ac:dyDescent="0.2">
      <c r="G2"/>
      <c r="H2"/>
    </row>
    <row r="3" spans="1:8" x14ac:dyDescent="0.2">
      <c r="A3" t="s">
        <v>46</v>
      </c>
      <c r="B3" s="4">
        <v>249753</v>
      </c>
      <c r="C3" s="23">
        <v>0.74519999999999997</v>
      </c>
      <c r="D3" s="4">
        <f>B3*C3</f>
        <v>186115.9356</v>
      </c>
      <c r="E3" s="14">
        <v>4</v>
      </c>
      <c r="F3" s="4">
        <f>D3*E3</f>
        <v>744463.74239999999</v>
      </c>
      <c r="G3" s="13"/>
      <c r="H3" s="13"/>
    </row>
    <row r="4" spans="1:8" x14ac:dyDescent="0.2">
      <c r="A4" s="27" t="s">
        <v>47</v>
      </c>
      <c r="B4" s="4">
        <v>140950</v>
      </c>
      <c r="C4" s="23">
        <v>0.94869999999999999</v>
      </c>
      <c r="D4" s="4">
        <f>B4*C4</f>
        <v>133719.26499999998</v>
      </c>
      <c r="E4" s="14">
        <v>1</v>
      </c>
      <c r="F4" s="4">
        <f>D4*E4</f>
        <v>133719.26499999998</v>
      </c>
      <c r="G4" s="13"/>
      <c r="H4" s="13"/>
    </row>
    <row r="5" spans="1:8" x14ac:dyDescent="0.2">
      <c r="A5" s="27" t="s">
        <v>48</v>
      </c>
      <c r="B5" s="4">
        <v>197329</v>
      </c>
      <c r="C5" s="23">
        <v>0.94869999999999999</v>
      </c>
      <c r="D5" s="4">
        <f>B5*C5</f>
        <v>187206.02230000001</v>
      </c>
      <c r="E5" s="14">
        <v>1</v>
      </c>
      <c r="F5" s="4">
        <f>D5*E5</f>
        <v>187206.02230000001</v>
      </c>
      <c r="G5" s="13"/>
      <c r="H5" s="13"/>
    </row>
    <row r="6" spans="1:8" x14ac:dyDescent="0.2">
      <c r="A6" s="27" t="s">
        <v>49</v>
      </c>
      <c r="B6" s="4">
        <v>72463</v>
      </c>
      <c r="C6" s="23">
        <v>1</v>
      </c>
      <c r="D6" s="4">
        <f>B6*C6</f>
        <v>72463</v>
      </c>
      <c r="E6" s="15">
        <v>2.39</v>
      </c>
      <c r="F6" s="4">
        <f>D6*E6</f>
        <v>173186.57</v>
      </c>
      <c r="G6" s="4"/>
      <c r="H6" s="13"/>
    </row>
    <row r="7" spans="1:8" ht="13.5" thickBot="1" x14ac:dyDescent="0.25">
      <c r="A7" t="s">
        <v>50</v>
      </c>
      <c r="B7" s="4"/>
      <c r="D7" s="4"/>
      <c r="F7" s="24">
        <v>7185</v>
      </c>
      <c r="G7" s="4"/>
    </row>
    <row r="9" spans="1:8" x14ac:dyDescent="0.2">
      <c r="A9" s="27" t="s">
        <v>51</v>
      </c>
      <c r="F9" s="4">
        <f>SUM(F3:F7)</f>
        <v>1245760.5997000001</v>
      </c>
      <c r="G9" s="4"/>
    </row>
    <row r="10" spans="1:8" x14ac:dyDescent="0.2">
      <c r="G10" s="4"/>
    </row>
    <row r="11" spans="1:8" x14ac:dyDescent="0.2">
      <c r="G11" s="4"/>
    </row>
    <row r="12" spans="1:8" x14ac:dyDescent="0.2">
      <c r="G12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Introduction</vt:lpstr>
      <vt:lpstr>Store#1</vt:lpstr>
      <vt:lpstr>Store#2</vt:lpstr>
      <vt:lpstr>TOTAL</vt:lpstr>
      <vt:lpstr>POLICE</vt:lpstr>
      <vt:lpstr>POLICE!Print_Area</vt:lpstr>
      <vt:lpstr>'Store#1'!Print_Area</vt:lpstr>
      <vt:lpstr>TOTAL!Print_Area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Sign Regulation Data</dc:title>
  <dc:creator>Roger J. Brown</dc:creator>
  <cp:lastModifiedBy>Roger J Brown</cp:lastModifiedBy>
  <cp:lastPrinted>2004-08-10T04:12:32Z</cp:lastPrinted>
  <dcterms:created xsi:type="dcterms:W3CDTF">2002-06-18T17:26:59Z</dcterms:created>
  <dcterms:modified xsi:type="dcterms:W3CDTF">2012-04-24T01:57:01Z</dcterms:modified>
</cp:coreProperties>
</file>